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收支预算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<sst xmlns="http://schemas.openxmlformats.org/spreadsheetml/2006/main" count="54" uniqueCount="42">
  <si>
    <t>单位：万元</t>
  </si>
  <si>
    <t>二、政府性基金</t>
  </si>
  <si>
    <t>收入总计</t>
  </si>
  <si>
    <t>支出总计</t>
  </si>
  <si>
    <t>附件1</t>
  </si>
  <si>
    <t>一、一般公共预算</t>
  </si>
  <si>
    <t>（一）本年收入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</si>
  <si>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</si>
  <si>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</si>
  <si>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</si>
  <si>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</si>
  <si>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</si>
  <si>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</t>
  </si>
  <si>
    <t>（二）上年结转</t>
  </si>
  <si>
    <t>三、国有资本经营预算</t>
  </si>
  <si>
    <t>四、事业收入</t>
  </si>
  <si>
    <t>五、事业单位经营性收入</t>
  </si>
  <si>
    <t>六、其他收入</t>
  </si>
  <si>
    <t>一、教育支出</t>
  </si>
  <si>
    <t>（一）基本支出</t>
  </si>
  <si>
    <t xml:space="preserve">  1.工资福利支出</t>
  </si>
  <si>
    <t xml:space="preserve">  2.商品和服务支出</t>
  </si>
  <si>
    <t xml:space="preserve">  3.对个人和家庭的补助</t>
  </si>
  <si>
    <t>（二）项目支出</t>
  </si>
  <si>
    <t>二、社会保障和就业支出</t>
  </si>
  <si>
    <t>预算数</t>
  </si>
  <si>
    <t>二季度执行数</t>
  </si>
  <si>
    <t>累计执行数</t>
  </si>
  <si>
    <t>2016年预算执行情况</t>
  </si>
  <si>
    <t>累计执行率         （％）</t>
  </si>
  <si>
    <t>上年同期       预算执行数</t>
  </si>
  <si>
    <t>收  入  项  目</t>
  </si>
  <si>
    <t>项目                      （功能分类、经济科目）</t>
  </si>
  <si>
    <t>云南中医学院2016年财务收支预算执行情况总表（二季度）</t>
  </si>
  <si>
    <t xml:space="preserve">  1-2 未纳入年初预算收入</t>
  </si>
  <si>
    <t xml:space="preserve">  1-1 纳入年初预算收入</t>
  </si>
  <si>
    <t>－</t>
  </si>
  <si>
    <t xml:space="preserve">  1.纳入年初预算</t>
  </si>
  <si>
    <t xml:space="preserve">  2.未纳入年初预算</t>
  </si>
  <si>
    <t>三、经营支出</t>
  </si>
  <si>
    <t xml:space="preserve">              </t>
  </si>
  <si>
    <t>累计执行数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</si>
</sst>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* #,##0.0_-;\-* #,##0.0_-;_-* &quot;-&quot;_-;_-@_-"/>
    <numFmt numFmtId="185" formatCode="_-* #,##0.00_-;\-* #,##0.00_-;_-* &quot;-&quot;_-;_-@_-"/>
    <numFmt numFmtId="186" formatCode="0.00_ ;[Red]\-0.00\ "/>
    <numFmt numFmtId="187" formatCode="0.00_ "/>
    <numFmt numFmtId="188" formatCode="#,##0.00_ "/>
    <numFmt numFmtId="189" formatCode="#,##0.0000000000000_ "/>
    <numFmt numFmtId="190" formatCode="0.000%"/>
  </numFmts>
  <fonts count="4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0" fontId="3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85" fontId="1" fillId="0" borderId="0" xfId="75" applyNumberFormat="1" applyFont="1" applyAlignment="1">
      <alignment vertical="center"/>
    </xf>
    <xf numFmtId="185" fontId="3" fillId="0" borderId="0" xfId="75" applyNumberFormat="1" applyFont="1" applyAlignment="1">
      <alignment vertical="center" wrapText="1"/>
    </xf>
    <xf numFmtId="185" fontId="3" fillId="0" borderId="0" xfId="75" applyNumberFormat="1" applyFont="1" applyAlignment="1">
      <alignment vertical="center"/>
    </xf>
    <xf numFmtId="185" fontId="30" fillId="0" borderId="0" xfId="86" applyNumberFormat="1" applyFont="1" applyAlignment="1">
      <alignment vertical="center"/>
    </xf>
    <xf numFmtId="185" fontId="30" fillId="0" borderId="0" xfId="93" applyNumberFormat="1" applyFont="1" applyAlignment="1">
      <alignment vertical="center"/>
    </xf>
    <xf numFmtId="185" fontId="30" fillId="0" borderId="0" xfId="94" applyNumberFormat="1" applyFont="1" applyAlignment="1">
      <alignment vertical="center"/>
    </xf>
    <xf numFmtId="185" fontId="30" fillId="0" borderId="0" xfId="96" applyNumberFormat="1" applyFont="1" applyAlignment="1">
      <alignment vertical="center"/>
    </xf>
    <xf numFmtId="185" fontId="30" fillId="0" borderId="0" xfId="92" applyNumberFormat="1" applyFont="1" applyAlignment="1">
      <alignment horizontal="center" vertical="center"/>
    </xf>
    <xf numFmtId="185" fontId="3" fillId="0" borderId="10" xfId="75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88" fontId="1" fillId="0" borderId="0" xfId="0" applyNumberFormat="1" applyFont="1" applyAlignment="1">
      <alignment vertical="center"/>
    </xf>
    <xf numFmtId="190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5" fontId="3" fillId="0" borderId="10" xfId="75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85" fontId="1" fillId="0" borderId="10" xfId="75" applyNumberFormat="1" applyFont="1" applyBorder="1" applyAlignment="1">
      <alignment vertical="center"/>
    </xf>
    <xf numFmtId="1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185" fontId="1" fillId="0" borderId="10" xfId="75" applyNumberFormat="1" applyFont="1" applyBorder="1" applyAlignment="1">
      <alignment horizontal="right" vertical="center"/>
    </xf>
    <xf numFmtId="185" fontId="41" fillId="0" borderId="10" xfId="86" applyNumberFormat="1" applyFont="1" applyBorder="1" applyAlignment="1">
      <alignment vertical="center"/>
    </xf>
    <xf numFmtId="185" fontId="41" fillId="0" borderId="10" xfId="94" applyNumberFormat="1" applyFont="1" applyBorder="1" applyAlignment="1">
      <alignment vertical="center"/>
    </xf>
    <xf numFmtId="185" fontId="41" fillId="0" borderId="10" xfId="92" applyNumberFormat="1" applyFont="1" applyBorder="1" applyAlignment="1">
      <alignment vertical="center"/>
    </xf>
    <xf numFmtId="185" fontId="41" fillId="0" borderId="0" xfId="97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85" fontId="41" fillId="0" borderId="0" xfId="98" applyNumberFormat="1" applyFont="1" applyAlignment="1">
      <alignment vertical="center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3" xfId="57"/>
    <cellStyle name="常规 4" xfId="58"/>
    <cellStyle name="常规 5" xfId="59"/>
    <cellStyle name="常规 5 2" xfId="60"/>
    <cellStyle name="常规 6" xfId="61"/>
    <cellStyle name="常规 7" xfId="62"/>
    <cellStyle name="常规 8" xfId="63"/>
    <cellStyle name="常规 9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千位分隔[0] 10" xfId="76"/>
    <cellStyle name="千位分隔[0] 11" xfId="77"/>
    <cellStyle name="千位分隔[0] 12" xfId="78"/>
    <cellStyle name="千位分隔[0] 13" xfId="79"/>
    <cellStyle name="千位分隔[0] 14" xfId="80"/>
    <cellStyle name="千位分隔[0] 15" xfId="81"/>
    <cellStyle name="千位分隔[0] 16" xfId="82"/>
    <cellStyle name="千位分隔[0] 17" xfId="83"/>
    <cellStyle name="千位分隔[0] 18" xfId="84"/>
    <cellStyle name="千位分隔[0] 19" xfId="85"/>
    <cellStyle name="千位分隔[0] 2" xfId="86"/>
    <cellStyle name="千位分隔[0] 20" xfId="87"/>
    <cellStyle name="千位分隔[0] 21" xfId="88"/>
    <cellStyle name="千位分隔[0] 22" xfId="89"/>
    <cellStyle name="千位分隔[0] 23" xfId="90"/>
    <cellStyle name="千位分隔[0] 24" xfId="91"/>
    <cellStyle name="千位分隔[0] 3" xfId="92"/>
    <cellStyle name="千位分隔[0] 4" xfId="93"/>
    <cellStyle name="千位分隔[0] 5" xfId="94"/>
    <cellStyle name="千位分隔[0] 6" xfId="95"/>
    <cellStyle name="千位分隔[0] 7" xfId="96"/>
    <cellStyle name="千位分隔[0] 8" xfId="97"/>
    <cellStyle name="千位分隔[0] 9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6">
      <selection activeCell="E38" sqref="E38"/>
    </sheetView>
  </sheetViews>
  <sheetFormatPr defaultColWidth="9.00390625" defaultRowHeight="14.25"/>
  <cols>
    <col min="1" max="1" width="29.625" style="8" bestFit="1" customWidth="1"/>
    <col min="2" max="2" width="10.50390625" style="8" bestFit="1" customWidth="1"/>
    <col min="3" max="3" width="12.25390625" style="8" bestFit="1" customWidth="1"/>
    <col min="4" max="4" width="10.25390625" style="37" bestFit="1" customWidth="1"/>
    <col min="5" max="5" width="10.25390625" style="14" bestFit="1" customWidth="1"/>
    <col min="6" max="6" width="10.25390625" style="8" customWidth="1"/>
    <col min="7" max="7" width="20.25390625" style="8" customWidth="1"/>
    <col min="8" max="8" width="10.50390625" style="8" bestFit="1" customWidth="1"/>
    <col min="9" max="9" width="12.75390625" style="21" bestFit="1" customWidth="1"/>
    <col min="10" max="10" width="10.25390625" style="8" bestFit="1" customWidth="1"/>
    <col min="11" max="11" width="10.25390625" style="16" bestFit="1" customWidth="1"/>
    <col min="12" max="12" width="10.625" style="8" customWidth="1"/>
    <col min="13" max="13" width="10.25390625" style="21" bestFit="1" customWidth="1"/>
    <col min="14" max="14" width="10.25390625" style="8" bestFit="1" customWidth="1"/>
    <col min="15" max="16384" width="9.00390625" style="8" customWidth="1"/>
  </cols>
  <sheetData>
    <row r="1" ht="19.5" customHeight="1">
      <c r="A1" s="8" t="s">
        <v>4</v>
      </c>
    </row>
    <row r="2" spans="1:12" ht="41.25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1:12" ht="22.5" customHeight="1">
      <c r="K3" s="36" t="s">
        <v>0</v>
      </c>
      <c r="L3" s="36"/>
    </row>
    <row r="4" spans="1:13" s="18" customFormat="1" ht="22.5" customHeight="1">
      <c r="A4" s="34" t="s">
        <v>31</v>
      </c>
      <c r="B4" s="34" t="s">
        <v>28</v>
      </c>
      <c r="C4" s="34"/>
      <c r="D4" s="34"/>
      <c r="E4" s="34"/>
      <c r="F4" s="34" t="s">
        <v>30</v>
      </c>
      <c r="G4" s="34" t="s">
        <v>32</v>
      </c>
      <c r="H4" s="43" t="s">
        <v>28</v>
      </c>
      <c r="I4" s="43"/>
      <c r="J4" s="43"/>
      <c r="K4" s="43"/>
      <c r="L4" s="34" t="s">
        <v>30</v>
      </c>
      <c r="M4" s="22"/>
    </row>
    <row r="5" spans="1:13" s="18" customFormat="1" ht="24.75" customHeight="1">
      <c r="A5" s="34"/>
      <c r="B5" s="12" t="s">
        <v>25</v>
      </c>
      <c r="C5" s="12" t="s">
        <v>26</v>
      </c>
      <c r="D5" s="38" t="s">
        <v>41</v>
      </c>
      <c r="E5" s="13" t="s">
        <v>29</v>
      </c>
      <c r="F5" s="34"/>
      <c r="G5" s="34"/>
      <c r="H5" s="38" t="s">
        <v>25</v>
      </c>
      <c r="I5" s="44" t="s">
        <v>26</v>
      </c>
      <c r="J5" s="38" t="s">
        <v>27</v>
      </c>
      <c r="K5" s="45" t="s">
        <v>29</v>
      </c>
      <c r="L5" s="34"/>
      <c r="M5" s="22"/>
    </row>
    <row r="6" spans="1:12" ht="24.75" customHeight="1">
      <c r="A6" s="3" t="s">
        <v>5</v>
      </c>
      <c r="B6" s="5">
        <f>SUM(B7,B16)</f>
        <v>29991.21</v>
      </c>
      <c r="C6" s="5">
        <f>SUM(C7,C16)</f>
        <v>12272.14</v>
      </c>
      <c r="D6" s="39">
        <f>SUM(D7,D16)</f>
        <v>28301.43</v>
      </c>
      <c r="E6" s="15">
        <f>D6/B6</f>
        <v>0.9437</v>
      </c>
      <c r="F6" s="5">
        <f>SUM(F7,F16)</f>
        <v>14968.63</v>
      </c>
      <c r="G6" s="10" t="s">
        <v>18</v>
      </c>
      <c r="H6" s="39">
        <f>SUM(H7,H11)</f>
        <v>30638.32</v>
      </c>
      <c r="I6" s="46">
        <f>SUM(I7,I11)</f>
        <v>11782.08</v>
      </c>
      <c r="J6" s="39">
        <f>SUM(J7,J11)</f>
        <v>15833.56</v>
      </c>
      <c r="K6" s="47">
        <f>J6/H6</f>
        <v>0.5168</v>
      </c>
      <c r="L6" s="5">
        <f>SUM(L7,L11)</f>
        <v>9344.58</v>
      </c>
    </row>
    <row r="7" spans="1:12" ht="24.75" customHeight="1">
      <c r="A7" s="3" t="s">
        <v>6</v>
      </c>
      <c r="B7" s="5">
        <f>SUM(B8,B11:B15)</f>
        <v>29125.21</v>
      </c>
      <c r="C7" s="5">
        <f>SUM(C8,C11:C15)</f>
        <v>12272.14</v>
      </c>
      <c r="D7" s="39">
        <f>SUM(D8,D11:D15)</f>
        <v>27435.43</v>
      </c>
      <c r="E7" s="15">
        <f>D7/B7</f>
        <v>0.942</v>
      </c>
      <c r="F7" s="5">
        <f>SUM(F8,F11:F15)</f>
        <v>14968.63</v>
      </c>
      <c r="G7" s="3" t="s">
        <v>19</v>
      </c>
      <c r="H7" s="48">
        <f>SUM(H8:H10)</f>
        <v>19703.14</v>
      </c>
      <c r="I7" s="49">
        <f>SUM(I8:I10)</f>
        <v>4202.22</v>
      </c>
      <c r="J7" s="48">
        <f>SUM(J8:J10)</f>
        <v>7476.49</v>
      </c>
      <c r="K7" s="47">
        <f aca="true" t="shared" si="0" ref="K7:K12">J7/H7</f>
        <v>0.3795</v>
      </c>
      <c r="L7" s="5">
        <f>SUM(L8:L10)</f>
        <v>5711.2</v>
      </c>
    </row>
    <row r="8" spans="1:13" ht="24.75" customHeight="1">
      <c r="A8" s="3" t="s">
        <v>7</v>
      </c>
      <c r="B8" s="5">
        <v>19259.19</v>
      </c>
      <c r="C8" s="5">
        <f>SUM(C9:C10)</f>
        <v>10524.73</v>
      </c>
      <c r="D8" s="39">
        <f>(70385861+182812300+12150162.16)/10000-866+19.19</f>
        <v>25688.02</v>
      </c>
      <c r="E8" s="15">
        <f>D8/B8</f>
        <v>1.3338</v>
      </c>
      <c r="F8" s="5">
        <f>SUM(F9:F10)</f>
        <v>13891.03</v>
      </c>
      <c r="G8" s="3" t="s">
        <v>20</v>
      </c>
      <c r="H8" s="48">
        <v>10080</v>
      </c>
      <c r="I8" s="46">
        <f>18953565.15/10000</f>
        <v>1895.36</v>
      </c>
      <c r="J8" s="50">
        <f>39197764.64/10000</f>
        <v>3919.78</v>
      </c>
      <c r="K8" s="47">
        <f t="shared" si="0"/>
        <v>0.3889</v>
      </c>
      <c r="L8" s="5">
        <f>29360167.75/10000</f>
        <v>2936.02</v>
      </c>
      <c r="M8" s="24"/>
    </row>
    <row r="9" spans="1:13" ht="24.75" customHeight="1">
      <c r="A9" s="3" t="s">
        <v>35</v>
      </c>
      <c r="B9" s="5">
        <v>19259.19</v>
      </c>
      <c r="C9" s="5">
        <f>37966500/10000</f>
        <v>3796.65</v>
      </c>
      <c r="D9" s="39">
        <f>(70385861+100000000+191900)/10000</f>
        <v>17057.78</v>
      </c>
      <c r="E9" s="15">
        <f>D9/B9</f>
        <v>0.8857</v>
      </c>
      <c r="F9" s="5">
        <f>38054058.5/10000</f>
        <v>3805.41</v>
      </c>
      <c r="G9" s="3" t="s">
        <v>21</v>
      </c>
      <c r="H9" s="48">
        <v>7530.14</v>
      </c>
      <c r="I9" s="46">
        <f>13690254.53/10000</f>
        <v>1369.03</v>
      </c>
      <c r="J9" s="51">
        <f>(17785017.59+4270)/10000</f>
        <v>1778.93</v>
      </c>
      <c r="K9" s="47">
        <f t="shared" si="0"/>
        <v>0.2362</v>
      </c>
      <c r="L9" s="5">
        <f>(11838335.07-51586.7+86160.2)/10000</f>
        <v>1187.29</v>
      </c>
      <c r="M9" s="26"/>
    </row>
    <row r="10" spans="1:14" ht="24.75" customHeight="1">
      <c r="A10" s="3" t="s">
        <v>34</v>
      </c>
      <c r="B10" s="5">
        <v>0</v>
      </c>
      <c r="C10" s="5">
        <f>105247335.23/10000-C9</f>
        <v>6728.08</v>
      </c>
      <c r="D10" s="39">
        <f>D8-D9</f>
        <v>8630.24</v>
      </c>
      <c r="E10" s="15" t="s">
        <v>36</v>
      </c>
      <c r="F10" s="5">
        <v>10085.615905</v>
      </c>
      <c r="G10" s="3" t="s">
        <v>22</v>
      </c>
      <c r="H10" s="48">
        <v>2093</v>
      </c>
      <c r="I10" s="46">
        <f>9378324.79/10000</f>
        <v>937.83</v>
      </c>
      <c r="J10" s="52">
        <f>17777830.72/10000</f>
        <v>1777.78</v>
      </c>
      <c r="K10" s="47">
        <f t="shared" si="0"/>
        <v>0.8494</v>
      </c>
      <c r="L10" s="5">
        <f>(15878999.83-138)/10000</f>
        <v>1587.89</v>
      </c>
      <c r="M10" s="28"/>
      <c r="N10" s="25"/>
    </row>
    <row r="11" spans="1:12" ht="24.75" customHeight="1">
      <c r="A11" s="3" t="s">
        <v>8</v>
      </c>
      <c r="B11" s="5"/>
      <c r="C11" s="5"/>
      <c r="D11" s="39"/>
      <c r="E11" s="15"/>
      <c r="F11" s="5"/>
      <c r="G11" s="3" t="s">
        <v>23</v>
      </c>
      <c r="H11" s="48">
        <f>SUM(H12:H13)</f>
        <v>10935.18</v>
      </c>
      <c r="I11" s="49">
        <f>SUM(I12:I13)</f>
        <v>7579.86</v>
      </c>
      <c r="J11" s="48">
        <f>SUM(J12:J13)</f>
        <v>8357.07</v>
      </c>
      <c r="K11" s="47">
        <f t="shared" si="0"/>
        <v>0.7642</v>
      </c>
      <c r="L11" s="5">
        <f>SUM(L12:L13)</f>
        <v>3633.38</v>
      </c>
    </row>
    <row r="12" spans="1:13" ht="24.75" customHeight="1">
      <c r="A12" s="3" t="s">
        <v>9</v>
      </c>
      <c r="B12" s="5"/>
      <c r="C12" s="5"/>
      <c r="D12" s="39"/>
      <c r="E12" s="15"/>
      <c r="F12" s="5"/>
      <c r="G12" s="10" t="s">
        <v>37</v>
      </c>
      <c r="H12" s="48">
        <v>10935.18</v>
      </c>
      <c r="I12" s="46">
        <f>42889448.93/10000</f>
        <v>4288.94</v>
      </c>
      <c r="J12" s="48">
        <f>42928716.18/10000</f>
        <v>4292.87</v>
      </c>
      <c r="K12" s="47">
        <f t="shared" si="0"/>
        <v>0.3926</v>
      </c>
      <c r="L12" s="5">
        <f>692552.9/10000</f>
        <v>69.26</v>
      </c>
      <c r="M12" s="27"/>
    </row>
    <row r="13" spans="1:12" ht="24.75" customHeight="1">
      <c r="A13" s="3" t="s">
        <v>10</v>
      </c>
      <c r="B13" s="5"/>
      <c r="C13" s="5"/>
      <c r="D13" s="39"/>
      <c r="E13" s="15"/>
      <c r="F13" s="5"/>
      <c r="G13" s="10" t="s">
        <v>38</v>
      </c>
      <c r="H13" s="48">
        <v>0</v>
      </c>
      <c r="I13" s="46">
        <f>32906188.61/10000+0.3</f>
        <v>3290.92</v>
      </c>
      <c r="J13" s="53">
        <f>40638957.15/10000+0.3</f>
        <v>4064.2</v>
      </c>
      <c r="K13" s="47" t="s">
        <v>36</v>
      </c>
      <c r="L13" s="5">
        <f>35641171.23/10000</f>
        <v>3564.12</v>
      </c>
    </row>
    <row r="14" spans="1:12" ht="24.75" customHeight="1">
      <c r="A14" s="3" t="s">
        <v>11</v>
      </c>
      <c r="B14" s="5">
        <v>9866.02</v>
      </c>
      <c r="C14" s="5">
        <f>17474131.93/10000</f>
        <v>1747.41</v>
      </c>
      <c r="D14" s="39">
        <f>C14</f>
        <v>1747.41</v>
      </c>
      <c r="E14" s="15">
        <f>D14/B14</f>
        <v>0.1771</v>
      </c>
      <c r="F14" s="5">
        <f>10776000/10000</f>
        <v>1077.6</v>
      </c>
      <c r="G14" s="3" t="s">
        <v>24</v>
      </c>
      <c r="H14" s="39">
        <f>H15</f>
        <v>19.19</v>
      </c>
      <c r="I14" s="39">
        <f>I15</f>
        <v>3.16</v>
      </c>
      <c r="J14" s="39">
        <f>J15</f>
        <v>3.16</v>
      </c>
      <c r="K14" s="47">
        <f>J14/H14</f>
        <v>0.1647</v>
      </c>
      <c r="L14" s="5">
        <f>L15</f>
        <v>5.17</v>
      </c>
    </row>
    <row r="15" spans="1:12" ht="24.75" customHeight="1">
      <c r="A15" s="3" t="s">
        <v>12</v>
      </c>
      <c r="B15" s="5"/>
      <c r="C15" s="5"/>
      <c r="D15" s="39"/>
      <c r="E15" s="15"/>
      <c r="F15" s="5"/>
      <c r="G15" s="3" t="s">
        <v>19</v>
      </c>
      <c r="H15" s="48">
        <f>SUM(H16:H18)</f>
        <v>19.19</v>
      </c>
      <c r="I15" s="49">
        <f>SUM(I16:I18)</f>
        <v>3.16</v>
      </c>
      <c r="J15" s="48">
        <f>SUM(J16:J18)</f>
        <v>3.16</v>
      </c>
      <c r="K15" s="47">
        <f>J15/H15</f>
        <v>0.1647</v>
      </c>
      <c r="L15" s="5">
        <f>SUM(L16:L18)</f>
        <v>5.17</v>
      </c>
    </row>
    <row r="16" spans="1:12" ht="24.75" customHeight="1">
      <c r="A16" s="3" t="s">
        <v>13</v>
      </c>
      <c r="B16" s="5">
        <v>866</v>
      </c>
      <c r="C16" s="5">
        <v>0</v>
      </c>
      <c r="D16" s="39">
        <v>866</v>
      </c>
      <c r="E16" s="15">
        <f>D16/B16</f>
        <v>1</v>
      </c>
      <c r="F16" s="5">
        <v>0</v>
      </c>
      <c r="G16" s="3" t="s">
        <v>20</v>
      </c>
      <c r="H16" s="48"/>
      <c r="I16" s="46"/>
      <c r="J16" s="54"/>
      <c r="K16" s="47"/>
      <c r="L16" s="5"/>
    </row>
    <row r="17" spans="1:12" ht="24.75" customHeight="1">
      <c r="A17" s="3" t="s">
        <v>1</v>
      </c>
      <c r="B17" s="5"/>
      <c r="C17" s="5"/>
      <c r="D17" s="39"/>
      <c r="E17" s="15"/>
      <c r="F17" s="5"/>
      <c r="G17" s="3" t="s">
        <v>21</v>
      </c>
      <c r="H17" s="48">
        <v>19.19</v>
      </c>
      <c r="I17" s="46">
        <f>J17</f>
        <v>3.16</v>
      </c>
      <c r="J17" s="46">
        <f>31591/10000</f>
        <v>3.16</v>
      </c>
      <c r="K17" s="47">
        <f>J17/H17</f>
        <v>0.1647</v>
      </c>
      <c r="L17" s="5">
        <f>51724.7/10000</f>
        <v>5.17</v>
      </c>
    </row>
    <row r="18" spans="1:12" ht="24.75" customHeight="1">
      <c r="A18" s="3" t="s">
        <v>14</v>
      </c>
      <c r="B18" s="5"/>
      <c r="C18" s="5"/>
      <c r="D18" s="39"/>
      <c r="E18" s="15"/>
      <c r="F18" s="5"/>
      <c r="G18" s="3" t="s">
        <v>22</v>
      </c>
      <c r="H18" s="48"/>
      <c r="I18" s="46"/>
      <c r="J18" s="54"/>
      <c r="K18" s="47"/>
      <c r="L18" s="5"/>
    </row>
    <row r="19" spans="1:12" ht="24.75" customHeight="1">
      <c r="A19" s="3" t="s">
        <v>15</v>
      </c>
      <c r="B19" s="5">
        <v>0</v>
      </c>
      <c r="C19" s="5">
        <f>1707967.38/10000</f>
        <v>170.8</v>
      </c>
      <c r="D19" s="39">
        <f>2872096.31/10000</f>
        <v>287.21</v>
      </c>
      <c r="E19" s="20" t="s">
        <v>36</v>
      </c>
      <c r="F19" s="5">
        <f>3002000/10000</f>
        <v>300.2</v>
      </c>
      <c r="G19" s="3" t="s">
        <v>39</v>
      </c>
      <c r="H19" s="48">
        <v>0</v>
      </c>
      <c r="I19" s="49">
        <f>737692.09/10000</f>
        <v>73.77</v>
      </c>
      <c r="J19" s="55">
        <f>3654531.86/10000</f>
        <v>365.45</v>
      </c>
      <c r="K19" s="47" t="s">
        <v>36</v>
      </c>
      <c r="L19" s="5">
        <f>3829997.65/10000</f>
        <v>383</v>
      </c>
    </row>
    <row r="20" spans="1:12" ht="24.75" customHeight="1">
      <c r="A20" s="3" t="s">
        <v>16</v>
      </c>
      <c r="B20" s="5">
        <v>200</v>
      </c>
      <c r="C20" s="5">
        <f>1547455.32/10000</f>
        <v>154.75</v>
      </c>
      <c r="D20" s="39">
        <v>182.21</v>
      </c>
      <c r="E20" s="15">
        <f>D20/B20</f>
        <v>0.9111</v>
      </c>
      <c r="F20" s="5">
        <f>4630431.5/10000</f>
        <v>463.04</v>
      </c>
      <c r="G20" s="4"/>
      <c r="H20" s="48"/>
      <c r="I20" s="46"/>
      <c r="J20" s="54"/>
      <c r="K20" s="47"/>
      <c r="L20" s="5"/>
    </row>
    <row r="21" spans="1:12" ht="24.75" customHeight="1">
      <c r="A21" s="3" t="s">
        <v>17</v>
      </c>
      <c r="B21" s="5">
        <v>466.3</v>
      </c>
      <c r="C21" s="5">
        <f>2011287.4/10000</f>
        <v>201.13</v>
      </c>
      <c r="D21" s="39">
        <f>(2415000+3148883.58)/10000</f>
        <v>556.39</v>
      </c>
      <c r="E21" s="15">
        <f>D21/B21</f>
        <v>1.1932</v>
      </c>
      <c r="F21" s="5">
        <f>3219078.62/10000</f>
        <v>321.91</v>
      </c>
      <c r="G21" s="4"/>
      <c r="H21" s="48"/>
      <c r="I21" s="46"/>
      <c r="J21" s="54"/>
      <c r="K21" s="47"/>
      <c r="L21" s="5"/>
    </row>
    <row r="22" spans="1:13" s="9" customFormat="1" ht="24.75" customHeight="1">
      <c r="A22" s="2" t="s">
        <v>2</v>
      </c>
      <c r="B22" s="6">
        <f>SUM(B6,B17:B21)</f>
        <v>30657.51</v>
      </c>
      <c r="C22" s="6">
        <f>SUM(C6,C17:C21)</f>
        <v>12798.82</v>
      </c>
      <c r="D22" s="40">
        <f>SUM(D6,D17:D21)</f>
        <v>29327.24</v>
      </c>
      <c r="E22" s="19">
        <f>D22/B22</f>
        <v>0.9566</v>
      </c>
      <c r="F22" s="30">
        <f>SUM(F6,F17:F21)</f>
        <v>16053.78</v>
      </c>
      <c r="G22" s="2" t="s">
        <v>3</v>
      </c>
      <c r="H22" s="7">
        <f>SUM(H6,H14,H19)</f>
        <v>30657.51</v>
      </c>
      <c r="I22" s="29">
        <f>SUM(I6,I14,I19)</f>
        <v>11859.01</v>
      </c>
      <c r="J22" s="7">
        <f>SUM(J6,J14,J19)</f>
        <v>16202.17</v>
      </c>
      <c r="K22" s="17">
        <f>J22/H22</f>
        <v>0.5285</v>
      </c>
      <c r="L22" s="31">
        <f>SUM(L6,L14,L19)</f>
        <v>9732.75</v>
      </c>
      <c r="M22" s="23"/>
    </row>
    <row r="23" spans="1:8" ht="12">
      <c r="A23" s="1"/>
      <c r="B23" s="11"/>
      <c r="C23" s="11"/>
      <c r="D23" s="41"/>
      <c r="F23" s="11"/>
      <c r="G23" s="1"/>
      <c r="H23" s="11"/>
    </row>
    <row r="24" spans="1:12" ht="12">
      <c r="A24" s="1"/>
      <c r="B24" s="11"/>
      <c r="C24" s="11"/>
      <c r="D24" s="41"/>
      <c r="F24" s="11"/>
      <c r="G24" s="1"/>
      <c r="H24" s="11"/>
      <c r="L24" s="32"/>
    </row>
    <row r="25" spans="1:11" ht="12">
      <c r="A25" s="1"/>
      <c r="B25" s="1"/>
      <c r="C25" s="1"/>
      <c r="D25" s="42"/>
      <c r="F25" s="1"/>
      <c r="G25" s="1"/>
      <c r="H25" s="1"/>
      <c r="K25" s="33"/>
    </row>
    <row r="26" spans="1:11" ht="12">
      <c r="A26" s="1"/>
      <c r="B26" s="1"/>
      <c r="C26" s="1"/>
      <c r="D26" s="42"/>
      <c r="F26" s="1"/>
      <c r="G26" s="1"/>
      <c r="H26" s="1"/>
      <c r="K26" s="16" t="s">
        <v>40</v>
      </c>
    </row>
  </sheetData>
  <sheetProtection/>
  <mergeCells count="8">
    <mergeCell ref="L4:L5"/>
    <mergeCell ref="A2:L2"/>
    <mergeCell ref="K3:L3"/>
    <mergeCell ref="A4:A5"/>
    <mergeCell ref="B4:E4"/>
    <mergeCell ref="F4:F5"/>
    <mergeCell ref="G4:G5"/>
    <mergeCell ref="H4:K4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zx</cp:lastModifiedBy>
  <cp:lastPrinted>2016-07-14T09:44:34Z</cp:lastPrinted>
  <dcterms:created xsi:type="dcterms:W3CDTF">2014-03-25T01:13:45Z</dcterms:created>
  <dcterms:modified xsi:type="dcterms:W3CDTF">2016-07-14T09:46:31Z</dcterms:modified>
  <cp:category/>
  <cp:version/>
  <cp:contentType/>
  <cp:contentStatus/>
</cp:coreProperties>
</file>